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Forslag 1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<sst xmlns="http://schemas.openxmlformats.org/spreadsheetml/2006/main" count="67" uniqueCount="48">
  <si>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Tildeling i alt</t>
  </si>
  <si>
    <t>Helheds- ikke helheds skole</t>
  </si>
  <si>
    <t>Antal børn, heldags</t>
  </si>
  <si>
    <t>Antal børn, morgen</t>
  </si>
  <si>
    <t>Antal børn, efter-middag</t>
  </si>
  <si>
    <t>Antal børn, i alt</t>
  </si>
  <si>
    <t>Grundtal</t>
  </si>
  <si>
    <t>Fuldtid</t>
  </si>
  <si>
    <t xml:space="preserve">Morgen </t>
  </si>
  <si>
    <t>Efter-middag</t>
  </si>
  <si>
    <t>Total løntimer</t>
  </si>
  <si>
    <t>Pædagog stillinger</t>
  </si>
  <si>
    <t>Agerbæk SFO</t>
  </si>
  <si>
    <t>M</t>
  </si>
  <si>
    <t>Alslev SFO - Huset</t>
  </si>
  <si>
    <t>Ansager Skoles SFO - Den blå æske</t>
  </si>
  <si>
    <t xml:space="preserve">Billum Skoles SFO, Oasen              </t>
  </si>
  <si>
    <t>Brorsonskolens SFO</t>
  </si>
  <si>
    <t>Horne Skoles SFO, Myretuen</t>
  </si>
  <si>
    <t>Janderup Skoles SFO, Papegøjehuset/Reden</t>
  </si>
  <si>
    <t xml:space="preserve">Lunde-Kvong SFO - Solsikken       </t>
  </si>
  <si>
    <t>Lykkesgårdsskolens SFO - Dragen</t>
  </si>
  <si>
    <t>Nordenskov SFO</t>
  </si>
  <si>
    <t>Næsbjerg SFO</t>
  </si>
  <si>
    <t xml:space="preserve">Nørre Nebel SFO                            </t>
  </si>
  <si>
    <t xml:space="preserve">Outrup SFO, Fristedet                   </t>
  </si>
  <si>
    <t>Sct. Jacobi Skoles SFO, Jacobillen</t>
  </si>
  <si>
    <t>Starup SFO</t>
  </si>
  <si>
    <t>Thorstrup Skoles SFO</t>
  </si>
  <si>
    <t>Tistrup Skoles SFO - Lærkereden</t>
  </si>
  <si>
    <t>Årre SFO</t>
  </si>
  <si>
    <t>Samuelsgårdens SFO</t>
  </si>
  <si>
    <t>Samlede tal</t>
  </si>
  <si>
    <t>Grundttildeling</t>
  </si>
  <si>
    <t>Fultids tildeling pr barn</t>
  </si>
  <si>
    <t>Morgentildeling pr. barn</t>
  </si>
  <si>
    <t>Eftermiddagstildeling pr barn</t>
  </si>
  <si>
    <t xml:space="preserve">Ølgod Skoles SFO </t>
  </si>
  <si>
    <t>Bidrag barsel/syg-domspuljer 2%</t>
  </si>
  <si>
    <t>Nedgang i børnetal ny reform</t>
  </si>
  <si>
    <t>Reduktion eftermiddag</t>
  </si>
  <si>
    <t xml:space="preserve">Faktiske                                              SFO  pr. 5/9-2013                                      i skoleåret 2013/14               </t>
  </si>
  <si>
    <t>Mindste tildeling er 2 fuldtidsstillinger</t>
  </si>
  <si>
    <t>Antallet af børn er reduceret med 20% af eftermiddagsmodul.</t>
  </si>
  <si>
    <t>Åbningstiden er max. 52,5 timer/ugen jfr. Retningslinier for SFO-området, dok. 877613/12</t>
  </si>
  <si>
    <t>Tildelingen for fuldtidsmodul og eftermiddagsmodul er reduceret i forhold til åbningstid. Nuv. 27,5 ny forventet 22,5</t>
  </si>
  <si>
    <t>Forslag 1 til ny tildelingsmodel for SFO 1 efter ny skolereform pr. 1/8-2014</t>
  </si>
  <si>
    <t xml:space="preserve">Forældrebetalingen udgør 60% 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</si>
</sst>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%"/>
    <numFmt numFmtId="179" formatCode="0.0"/>
  </numFmts>
  <fonts count="3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33" borderId="10" xfId="0" applyFont="1" applyFill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/>
    </xf>
    <xf numFmtId="175" fontId="3" fillId="0" borderId="15" xfId="0" applyNumberFormat="1" applyFont="1" applyBorder="1" applyAlignment="1">
      <alignment/>
    </xf>
    <xf numFmtId="175" fontId="3" fillId="0" borderId="16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75" fontId="3" fillId="0" borderId="1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1" xfId="0" applyNumberFormat="1" applyFont="1" applyBorder="1" applyAlignment="1">
      <alignment/>
    </xf>
    <xf numFmtId="175" fontId="3" fillId="0" borderId="12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2" fontId="3" fillId="0" borderId="16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20" xfId="0" applyFont="1" applyBorder="1" applyAlignment="1">
      <alignment vertical="justify"/>
    </xf>
    <xf numFmtId="0" fontId="3" fillId="0" borderId="22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 vertical="justify"/>
    </xf>
    <xf numFmtId="0" fontId="2" fillId="0" borderId="25" xfId="0" applyFont="1" applyBorder="1" applyAlignment="1">
      <alignment vertical="justify"/>
    </xf>
    <xf numFmtId="1" fontId="3" fillId="0" borderId="0" xfId="0" applyNumberFormat="1" applyFont="1" applyAlignment="1">
      <alignment/>
    </xf>
    <xf numFmtId="0" fontId="2" fillId="0" borderId="0" xfId="0" applyFont="1" applyAlignment="1">
      <alignment/>
    </xf>
    <xf numFmtId="1" fontId="3" fillId="0" borderId="15" xfId="0" applyNumberFormat="1" applyFont="1" applyBorder="1" applyAlignment="1">
      <alignment/>
    </xf>
    <xf numFmtId="0" fontId="3" fillId="35" borderId="17" xfId="0" applyFont="1" applyFill="1" applyBorder="1" applyAlignment="1">
      <alignment/>
    </xf>
    <xf numFmtId="9" fontId="3" fillId="0" borderId="13" xfId="0" applyNumberFormat="1" applyFont="1" applyBorder="1" applyAlignment="1">
      <alignment/>
    </xf>
    <xf numFmtId="3" fontId="3" fillId="34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10" zoomScaleNormal="110" workbookViewId="0" topLeftCell="A1">
      <selection activeCell="L35" sqref="L35"/>
    </sheetView>
  </sheetViews>
  <sheetFormatPr defaultColWidth="9.140625" defaultRowHeight="12.75"/>
  <cols>
    <col min="1" max="1" width="26.57421875" style="9" customWidth="1"/>
    <col min="2" max="2" width="7.8515625" style="9" customWidth="1"/>
    <col min="3" max="4" width="7.421875" style="9" customWidth="1"/>
    <col min="5" max="6" width="9.140625" style="9" customWidth="1"/>
    <col min="7" max="7" width="6.7109375" style="9" customWidth="1"/>
    <col min="8" max="8" width="8.00390625" style="9" customWidth="1"/>
    <col min="9" max="9" width="8.140625" style="9" customWidth="1"/>
    <col min="10" max="10" width="7.421875" style="9" customWidth="1"/>
    <col min="11" max="12" width="8.7109375" style="9" customWidth="1"/>
    <col min="13" max="13" width="8.28125" style="9" customWidth="1"/>
    <col min="14" max="14" width="9.00390625" style="9" customWidth="1"/>
    <col min="15" max="15" width="9.8515625" style="9" customWidth="1"/>
    <col min="16" max="16384" width="9.140625" style="9" customWidth="1"/>
  </cols>
  <sheetData>
    <row r="1" ht="15.75">
      <c r="A1" s="42" t="s">
        <v>46</v>
      </c>
    </row>
    <row r="2" ht="12.75" thickBot="1"/>
    <row r="3" spans="1:16" s="4" customFormat="1" ht="49.5" customHeight="1" thickBot="1">
      <c r="A3" s="1" t="s">
        <v>41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39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3" t="s">
        <v>40</v>
      </c>
      <c r="M3" s="3" t="s">
        <v>10</v>
      </c>
      <c r="N3" s="2" t="s">
        <v>11</v>
      </c>
      <c r="O3" s="34" t="s">
        <v>38</v>
      </c>
      <c r="P3" s="35" t="s">
        <v>0</v>
      </c>
    </row>
    <row r="4" spans="1:16" ht="12">
      <c r="A4" s="27"/>
      <c r="B4" s="6"/>
      <c r="C4" s="5"/>
      <c r="D4" s="5"/>
      <c r="E4" s="5"/>
      <c r="F4" s="40">
        <v>-0.2</v>
      </c>
      <c r="G4" s="5"/>
      <c r="H4" s="5"/>
      <c r="I4" s="5"/>
      <c r="J4" s="5"/>
      <c r="K4" s="5"/>
      <c r="L4" s="7"/>
      <c r="M4" s="7"/>
      <c r="N4" s="8"/>
      <c r="O4" s="18"/>
      <c r="P4" s="28"/>
    </row>
    <row r="5" spans="1:16" ht="12">
      <c r="A5" s="29" t="s">
        <v>12</v>
      </c>
      <c r="B5" s="10" t="s">
        <v>13</v>
      </c>
      <c r="C5" s="11">
        <v>39</v>
      </c>
      <c r="D5" s="11">
        <v>0</v>
      </c>
      <c r="E5" s="11">
        <v>39</v>
      </c>
      <c r="F5" s="11">
        <f>E5*$F$4</f>
        <v>-7.800000000000001</v>
      </c>
      <c r="G5" s="41">
        <f>C5+D5+E5+F5</f>
        <v>70.2</v>
      </c>
      <c r="H5" s="12">
        <f>IF(B5="U",#REF!,$B$30)</f>
        <v>830.4545454545454</v>
      </c>
      <c r="I5" s="12">
        <f>IF(B5="U",C5*#REF!,C5*$B$31)</f>
        <v>3350.4545454545455</v>
      </c>
      <c r="J5" s="12">
        <f>IF(B5="U",D5*#REF!,D5*$B$32)</f>
        <v>0</v>
      </c>
      <c r="K5" s="12">
        <f>IF(B5="U",E5*#REF!,E5*$B$33)</f>
        <v>2488.909090909091</v>
      </c>
      <c r="L5" s="12">
        <f>IF(C5="U",F5*#REF!,F5*$B$33)</f>
        <v>-497.78181818181827</v>
      </c>
      <c r="M5" s="13">
        <f>SUM(H5:L5)</f>
        <v>6172.036363636364</v>
      </c>
      <c r="N5" s="14">
        <f aca="true" t="shared" si="0" ref="N5:N25">M5/1924</f>
        <v>3.207919107919108</v>
      </c>
      <c r="O5" s="26">
        <f aca="true" t="shared" si="1" ref="O5:O25">N5*-2%</f>
        <v>-0.06415838215838215</v>
      </c>
      <c r="P5" s="30">
        <f aca="true" t="shared" si="2" ref="P5:P25">SUM(N5:O5)</f>
        <v>3.1437607257607256</v>
      </c>
    </row>
    <row r="6" spans="1:16" ht="12">
      <c r="A6" s="29" t="s">
        <v>14</v>
      </c>
      <c r="B6" s="10" t="s">
        <v>13</v>
      </c>
      <c r="C6" s="11">
        <v>36</v>
      </c>
      <c r="D6" s="11">
        <v>0</v>
      </c>
      <c r="E6" s="11">
        <v>47</v>
      </c>
      <c r="F6" s="11">
        <f aca="true" t="shared" si="3" ref="F6:F24">E6*$F$4</f>
        <v>-9.4</v>
      </c>
      <c r="G6" s="41">
        <f aca="true" t="shared" si="4" ref="G6:G24">C6+D6+E6+F6</f>
        <v>73.6</v>
      </c>
      <c r="H6" s="12">
        <f>IF(B6="U",#REF!,$B$30)</f>
        <v>830.4545454545454</v>
      </c>
      <c r="I6" s="12">
        <f>IF(B6="U",C6*#REF!,C6*$B$31)</f>
        <v>3092.7272727272725</v>
      </c>
      <c r="J6" s="12">
        <f>IF(B6="U",D6*#REF!,D6*$B$32)</f>
        <v>0</v>
      </c>
      <c r="K6" s="12">
        <f>IF(B6="U",E6*#REF!,E6*$B$33)</f>
        <v>2999.4545454545455</v>
      </c>
      <c r="L6" s="12">
        <f>IF(C6="U",F6*#REF!,F6*$B$33)</f>
        <v>-599.8909090909091</v>
      </c>
      <c r="M6" s="13">
        <f aca="true" t="shared" si="5" ref="M6:M24">SUM(H6:L6)</f>
        <v>6322.745454545455</v>
      </c>
      <c r="N6" s="14">
        <f t="shared" si="0"/>
        <v>3.286250236250236</v>
      </c>
      <c r="O6" s="26">
        <f t="shared" si="1"/>
        <v>-0.06572500472500473</v>
      </c>
      <c r="P6" s="30">
        <f t="shared" si="2"/>
        <v>3.2205252315252313</v>
      </c>
    </row>
    <row r="7" spans="1:16" ht="12">
      <c r="A7" s="29" t="s">
        <v>15</v>
      </c>
      <c r="B7" s="10" t="s">
        <v>13</v>
      </c>
      <c r="C7" s="11">
        <v>24</v>
      </c>
      <c r="D7" s="11">
        <v>0</v>
      </c>
      <c r="E7" s="11">
        <v>15</v>
      </c>
      <c r="F7" s="11">
        <f t="shared" si="3"/>
        <v>-3</v>
      </c>
      <c r="G7" s="41">
        <f t="shared" si="4"/>
        <v>36</v>
      </c>
      <c r="H7" s="12">
        <f>IF(B7="U",#REF!,$B$30)</f>
        <v>830.4545454545454</v>
      </c>
      <c r="I7" s="12">
        <f>IF(B7="U",C7*#REF!,C7*$B$31)</f>
        <v>2061.818181818182</v>
      </c>
      <c r="J7" s="12">
        <f>IF(B7="U",D7*#REF!,D7*$B$32)</f>
        <v>0</v>
      </c>
      <c r="K7" s="12">
        <f>IF(B7="U",E7*#REF!,E7*$B$33)</f>
        <v>957.2727272727273</v>
      </c>
      <c r="L7" s="12">
        <f>IF(C7="U",F7*#REF!,F7*$B$33)</f>
        <v>-191.45454545454547</v>
      </c>
      <c r="M7" s="13">
        <f t="shared" si="5"/>
        <v>3658.0909090909095</v>
      </c>
      <c r="N7" s="14">
        <f t="shared" si="0"/>
        <v>1.9012946512946516</v>
      </c>
      <c r="O7" s="26">
        <f t="shared" si="1"/>
        <v>-0.038025893025893036</v>
      </c>
      <c r="P7" s="30">
        <f>IF(SUM(N7:O7)&lt;2,2)</f>
        <v>2</v>
      </c>
    </row>
    <row r="8" spans="1:16" ht="12">
      <c r="A8" s="29" t="s">
        <v>16</v>
      </c>
      <c r="B8" s="10" t="s">
        <v>13</v>
      </c>
      <c r="C8" s="11">
        <v>19</v>
      </c>
      <c r="D8" s="11">
        <v>0</v>
      </c>
      <c r="E8" s="11">
        <v>30</v>
      </c>
      <c r="F8" s="11">
        <f t="shared" si="3"/>
        <v>-6</v>
      </c>
      <c r="G8" s="41">
        <f t="shared" si="4"/>
        <v>43</v>
      </c>
      <c r="H8" s="12">
        <f>IF(B8="U",#REF!,$B$30)</f>
        <v>830.4545454545454</v>
      </c>
      <c r="I8" s="12">
        <f>IF(B8="U",C8*#REF!,C8*$B$31)</f>
        <v>1632.2727272727273</v>
      </c>
      <c r="J8" s="12">
        <f>IF(B8="U",D8*#REF!,D8*$B$32)</f>
        <v>0</v>
      </c>
      <c r="K8" s="12">
        <f>IF(B8="U",E8*#REF!,E8*$B$33)</f>
        <v>1914.5454545454545</v>
      </c>
      <c r="L8" s="12">
        <f>IF(C8="U",F8*#REF!,F8*$B$33)</f>
        <v>-382.90909090909093</v>
      </c>
      <c r="M8" s="13">
        <f t="shared" si="5"/>
        <v>3994.363636363636</v>
      </c>
      <c r="N8" s="14">
        <f t="shared" si="0"/>
        <v>2.076072576072576</v>
      </c>
      <c r="O8" s="26">
        <f t="shared" si="1"/>
        <v>-0.041521451521451515</v>
      </c>
      <c r="P8" s="30">
        <f t="shared" si="2"/>
        <v>2.034551124551124</v>
      </c>
    </row>
    <row r="9" spans="1:16" ht="12">
      <c r="A9" s="29" t="s">
        <v>17</v>
      </c>
      <c r="B9" s="10" t="s">
        <v>13</v>
      </c>
      <c r="C9" s="11">
        <v>174</v>
      </c>
      <c r="D9" s="11">
        <v>0</v>
      </c>
      <c r="E9" s="11">
        <v>107</v>
      </c>
      <c r="F9" s="11">
        <f t="shared" si="3"/>
        <v>-21.400000000000002</v>
      </c>
      <c r="G9" s="41">
        <f t="shared" si="4"/>
        <v>259.6</v>
      </c>
      <c r="H9" s="12">
        <f>IF(B9="U",#REF!,$B$30)</f>
        <v>830.4545454545454</v>
      </c>
      <c r="I9" s="12">
        <f>IF(B9="U",C9*#REF!,C9*$B$31)</f>
        <v>14948.181818181818</v>
      </c>
      <c r="J9" s="12">
        <f>IF(B9="U",D9*#REF!,D9*$B$32)</f>
        <v>0</v>
      </c>
      <c r="K9" s="12">
        <f>IF(B9="U",E9*#REF!,E9*$B$33)</f>
        <v>6828.545454545455</v>
      </c>
      <c r="L9" s="12">
        <f>IF(C9="U",F9*#REF!,F9*$B$33)</f>
        <v>-1365.7090909090912</v>
      </c>
      <c r="M9" s="13">
        <f t="shared" si="5"/>
        <v>21241.47272727273</v>
      </c>
      <c r="N9" s="14">
        <f t="shared" si="0"/>
        <v>11.040266490266491</v>
      </c>
      <c r="O9" s="26">
        <f t="shared" si="1"/>
        <v>-0.22080532980532983</v>
      </c>
      <c r="P9" s="30">
        <f t="shared" si="2"/>
        <v>10.819461160461161</v>
      </c>
    </row>
    <row r="10" spans="1:16" ht="12">
      <c r="A10" s="29" t="s">
        <v>18</v>
      </c>
      <c r="B10" s="10" t="s">
        <v>13</v>
      </c>
      <c r="C10" s="11">
        <v>28</v>
      </c>
      <c r="D10" s="11">
        <v>0</v>
      </c>
      <c r="E10" s="11">
        <v>19</v>
      </c>
      <c r="F10" s="11">
        <f t="shared" si="3"/>
        <v>-3.8000000000000003</v>
      </c>
      <c r="G10" s="41">
        <f t="shared" si="4"/>
        <v>43.2</v>
      </c>
      <c r="H10" s="12">
        <f>IF(B10="U",#REF!,$B$30)</f>
        <v>830.4545454545454</v>
      </c>
      <c r="I10" s="12">
        <f>IF(B10="U",C10*#REF!,C10*$B$31)</f>
        <v>2405.4545454545455</v>
      </c>
      <c r="J10" s="12">
        <f>IF(B10="U",D10*#REF!,D10*$B$32)</f>
        <v>0</v>
      </c>
      <c r="K10" s="12">
        <f>IF(B10="U",E10*#REF!,E10*$B$33)</f>
        <v>1212.5454545454545</v>
      </c>
      <c r="L10" s="12">
        <f>IF(C10="U",F10*#REF!,F10*$B$33)</f>
        <v>-242.50909090909093</v>
      </c>
      <c r="M10" s="13">
        <f t="shared" si="5"/>
        <v>4205.945454545455</v>
      </c>
      <c r="N10" s="14">
        <f t="shared" si="0"/>
        <v>2.186042336042336</v>
      </c>
      <c r="O10" s="26">
        <f t="shared" si="1"/>
        <v>-0.04372084672084672</v>
      </c>
      <c r="P10" s="30">
        <f t="shared" si="2"/>
        <v>2.1423214893214895</v>
      </c>
    </row>
    <row r="11" spans="1:16" ht="24">
      <c r="A11" s="31" t="s">
        <v>19</v>
      </c>
      <c r="B11" s="10" t="s">
        <v>13</v>
      </c>
      <c r="C11" s="11">
        <v>35</v>
      </c>
      <c r="D11" s="11">
        <v>1</v>
      </c>
      <c r="E11" s="11">
        <v>26</v>
      </c>
      <c r="F11" s="11">
        <f t="shared" si="3"/>
        <v>-5.2</v>
      </c>
      <c r="G11" s="41">
        <f t="shared" si="4"/>
        <v>56.8</v>
      </c>
      <c r="H11" s="12">
        <f>IF(B11="U",#REF!,$B$30)</f>
        <v>830.4545454545454</v>
      </c>
      <c r="I11" s="12">
        <f>IF(B11="U",C11*#REF!,C11*$B$31)</f>
        <v>3006.8181818181815</v>
      </c>
      <c r="J11" s="12">
        <f>IF(B11="U",D11*#REF!,D11*$B$32)</f>
        <v>30</v>
      </c>
      <c r="K11" s="12">
        <f>IF(B11="U",E11*#REF!,E11*$B$33)</f>
        <v>1659.2727272727273</v>
      </c>
      <c r="L11" s="12">
        <f>IF(C11="U",F11*#REF!,F11*$B$33)</f>
        <v>-331.8545454545455</v>
      </c>
      <c r="M11" s="13">
        <f t="shared" si="5"/>
        <v>5194.6909090909085</v>
      </c>
      <c r="N11" s="14">
        <f t="shared" si="0"/>
        <v>2.6999432999432997</v>
      </c>
      <c r="O11" s="26">
        <f t="shared" si="1"/>
        <v>-0.053998865998866</v>
      </c>
      <c r="P11" s="30">
        <f t="shared" si="2"/>
        <v>2.645944433944434</v>
      </c>
    </row>
    <row r="12" spans="1:16" ht="12">
      <c r="A12" s="29" t="s">
        <v>20</v>
      </c>
      <c r="B12" s="10" t="s">
        <v>13</v>
      </c>
      <c r="C12" s="11">
        <v>11</v>
      </c>
      <c r="D12" s="11">
        <v>0</v>
      </c>
      <c r="E12" s="11">
        <v>30</v>
      </c>
      <c r="F12" s="11">
        <f t="shared" si="3"/>
        <v>-6</v>
      </c>
      <c r="G12" s="41">
        <f t="shared" si="4"/>
        <v>35</v>
      </c>
      <c r="H12" s="12">
        <f>IF(B12="U",#REF!,$B$30)</f>
        <v>830.4545454545454</v>
      </c>
      <c r="I12" s="12">
        <f>IF(B12="U",C12*#REF!,C12*$B$31)</f>
        <v>945</v>
      </c>
      <c r="J12" s="12">
        <f>IF(B12="U",D12*#REF!,D12*$B$32)</f>
        <v>0</v>
      </c>
      <c r="K12" s="12">
        <f>IF(B12="U",E12*#REF!,E12*$B$33)</f>
        <v>1914.5454545454545</v>
      </c>
      <c r="L12" s="12">
        <f>IF(C12="U",F12*#REF!,F12*$B$33)</f>
        <v>-382.90909090909093</v>
      </c>
      <c r="M12" s="13">
        <f t="shared" si="5"/>
        <v>3307.090909090909</v>
      </c>
      <c r="N12" s="14">
        <f t="shared" si="0"/>
        <v>1.718862218862219</v>
      </c>
      <c r="O12" s="26">
        <f t="shared" si="1"/>
        <v>-0.034377244377244376</v>
      </c>
      <c r="P12" s="30">
        <f>IF(SUM(N12:O12)&lt;2,2)</f>
        <v>2</v>
      </c>
    </row>
    <row r="13" spans="1:16" ht="12">
      <c r="A13" s="29" t="s">
        <v>21</v>
      </c>
      <c r="B13" s="10" t="s">
        <v>13</v>
      </c>
      <c r="C13" s="11">
        <v>92</v>
      </c>
      <c r="D13" s="11">
        <v>0</v>
      </c>
      <c r="E13" s="11">
        <v>95</v>
      </c>
      <c r="F13" s="11">
        <f t="shared" si="3"/>
        <v>-19</v>
      </c>
      <c r="G13" s="41">
        <f t="shared" si="4"/>
        <v>168</v>
      </c>
      <c r="H13" s="12">
        <f>IF(B13="U",#REF!,$B$30)</f>
        <v>830.4545454545454</v>
      </c>
      <c r="I13" s="12">
        <f>IF(B13="U",C13*#REF!,C13*$B$31)</f>
        <v>7903.636363636363</v>
      </c>
      <c r="J13" s="12">
        <f>IF(B13="U",D13*#REF!,D13*$B$32)</f>
        <v>0</v>
      </c>
      <c r="K13" s="12">
        <f>IF(B13="U",E13*#REF!,E13*$B$33)</f>
        <v>6062.727272727273</v>
      </c>
      <c r="L13" s="12">
        <f>IF(C13="U",F13*#REF!,F13*$B$33)</f>
        <v>-1212.5454545454545</v>
      </c>
      <c r="M13" s="13">
        <f t="shared" si="5"/>
        <v>13584.272727272726</v>
      </c>
      <c r="N13" s="14">
        <f t="shared" si="0"/>
        <v>7.06043281043281</v>
      </c>
      <c r="O13" s="26">
        <f t="shared" si="1"/>
        <v>-0.14120865620865622</v>
      </c>
      <c r="P13" s="30">
        <f t="shared" si="2"/>
        <v>6.919224154224154</v>
      </c>
    </row>
    <row r="14" spans="1:16" ht="12">
      <c r="A14" s="29" t="s">
        <v>22</v>
      </c>
      <c r="B14" s="10" t="s">
        <v>13</v>
      </c>
      <c r="C14" s="11">
        <v>34</v>
      </c>
      <c r="D14" s="11">
        <v>0</v>
      </c>
      <c r="E14" s="11">
        <v>24</v>
      </c>
      <c r="F14" s="11">
        <f t="shared" si="3"/>
        <v>-4.800000000000001</v>
      </c>
      <c r="G14" s="41">
        <f t="shared" si="4"/>
        <v>53.2</v>
      </c>
      <c r="H14" s="12">
        <f>IF(B14="U",#REF!,$B$30)</f>
        <v>830.4545454545454</v>
      </c>
      <c r="I14" s="12">
        <f>IF(B14="U",C14*#REF!,C14*$B$31)</f>
        <v>2920.909090909091</v>
      </c>
      <c r="J14" s="12">
        <f>IF(B14="U",D14*#REF!,D14*$B$32)</f>
        <v>0</v>
      </c>
      <c r="K14" s="12">
        <f>IF(B14="U",E14*#REF!,E14*$B$33)</f>
        <v>1531.6363636363637</v>
      </c>
      <c r="L14" s="12">
        <f>IF(C14="U",F14*#REF!,F14*$B$33)</f>
        <v>-306.32727272727277</v>
      </c>
      <c r="M14" s="13">
        <f t="shared" si="5"/>
        <v>4976.672727272728</v>
      </c>
      <c r="N14" s="14">
        <f t="shared" si="0"/>
        <v>2.5866282366282367</v>
      </c>
      <c r="O14" s="26">
        <f t="shared" si="1"/>
        <v>-0.05173256473256473</v>
      </c>
      <c r="P14" s="30">
        <f t="shared" si="2"/>
        <v>2.534895671895672</v>
      </c>
    </row>
    <row r="15" spans="1:16" ht="12">
      <c r="A15" s="29" t="s">
        <v>23</v>
      </c>
      <c r="B15" s="10" t="s">
        <v>13</v>
      </c>
      <c r="C15" s="11">
        <v>39</v>
      </c>
      <c r="D15" s="11">
        <v>1</v>
      </c>
      <c r="E15" s="11">
        <v>25</v>
      </c>
      <c r="F15" s="11">
        <f t="shared" si="3"/>
        <v>-5</v>
      </c>
      <c r="G15" s="41">
        <f t="shared" si="4"/>
        <v>60</v>
      </c>
      <c r="H15" s="12">
        <f>IF(B15="U",#REF!,$B$30)</f>
        <v>830.4545454545454</v>
      </c>
      <c r="I15" s="12">
        <f>IF(B15="U",C15*#REF!,C15*$B$31)</f>
        <v>3350.4545454545455</v>
      </c>
      <c r="J15" s="12">
        <f>IF(B15="U",D15*#REF!,D15*$B$32)</f>
        <v>30</v>
      </c>
      <c r="K15" s="12">
        <f>IF(B15="U",E15*#REF!,E15*$B$33)</f>
        <v>1595.4545454545455</v>
      </c>
      <c r="L15" s="12">
        <f>IF(C15="U",F15*#REF!,F15*$B$33)</f>
        <v>-319.0909090909091</v>
      </c>
      <c r="M15" s="13">
        <f t="shared" si="5"/>
        <v>5487.272727272727</v>
      </c>
      <c r="N15" s="14">
        <f t="shared" si="0"/>
        <v>2.852012852012852</v>
      </c>
      <c r="O15" s="26">
        <f t="shared" si="1"/>
        <v>-0.057040257040257045</v>
      </c>
      <c r="P15" s="30">
        <f t="shared" si="2"/>
        <v>2.794972594972595</v>
      </c>
    </row>
    <row r="16" spans="1:16" ht="12">
      <c r="A16" s="29" t="s">
        <v>24</v>
      </c>
      <c r="B16" s="10" t="s">
        <v>13</v>
      </c>
      <c r="C16" s="11">
        <v>26</v>
      </c>
      <c r="D16" s="11">
        <v>0</v>
      </c>
      <c r="E16" s="11">
        <v>59</v>
      </c>
      <c r="F16" s="11">
        <f t="shared" si="3"/>
        <v>-11.8</v>
      </c>
      <c r="G16" s="41">
        <f t="shared" si="4"/>
        <v>73.2</v>
      </c>
      <c r="H16" s="12">
        <f>IF(B16="U",#REF!,$B$30)</f>
        <v>830.4545454545454</v>
      </c>
      <c r="I16" s="12">
        <f>IF(B16="U",C16*#REF!,C16*$B$31)</f>
        <v>2233.6363636363635</v>
      </c>
      <c r="J16" s="12">
        <f>IF(B16="U",D16*#REF!,D16*$B$32)</f>
        <v>0</v>
      </c>
      <c r="K16" s="12">
        <f>IF(B16="U",E16*#REF!,E16*$B$33)</f>
        <v>3765.2727272727275</v>
      </c>
      <c r="L16" s="12">
        <f>IF(C16="U",F16*#REF!,F16*$B$33)</f>
        <v>-753.0545454545455</v>
      </c>
      <c r="M16" s="13">
        <f t="shared" si="5"/>
        <v>6076.309090909091</v>
      </c>
      <c r="N16" s="14">
        <f t="shared" si="0"/>
        <v>3.158164808164808</v>
      </c>
      <c r="O16" s="26">
        <f t="shared" si="1"/>
        <v>-0.06316329616329616</v>
      </c>
      <c r="P16" s="30">
        <f t="shared" si="2"/>
        <v>3.095001512001512</v>
      </c>
    </row>
    <row r="17" spans="1:16" ht="12">
      <c r="A17" s="29" t="s">
        <v>25</v>
      </c>
      <c r="B17" s="10" t="s">
        <v>13</v>
      </c>
      <c r="C17" s="11">
        <v>41</v>
      </c>
      <c r="D17" s="11">
        <v>2</v>
      </c>
      <c r="E17" s="11">
        <v>27</v>
      </c>
      <c r="F17" s="11">
        <f t="shared" si="3"/>
        <v>-5.4</v>
      </c>
      <c r="G17" s="41">
        <f t="shared" si="4"/>
        <v>64.6</v>
      </c>
      <c r="H17" s="12">
        <f>IF(B17="U",#REF!,$B$30)</f>
        <v>830.4545454545454</v>
      </c>
      <c r="I17" s="12">
        <f>IF(B17="U",C17*#REF!,C17*$B$31)</f>
        <v>3522.272727272727</v>
      </c>
      <c r="J17" s="12">
        <f>IF(B17="U",D17*#REF!,D17*$B$32)</f>
        <v>60</v>
      </c>
      <c r="K17" s="12">
        <f>IF(B17="U",E17*#REF!,E17*$B$33)</f>
        <v>1723.0909090909092</v>
      </c>
      <c r="L17" s="12">
        <f>IF(C17="U",F17*#REF!,F17*$B$33)</f>
        <v>-344.6181818181818</v>
      </c>
      <c r="M17" s="13">
        <f t="shared" si="5"/>
        <v>5791.199999999999</v>
      </c>
      <c r="N17" s="14">
        <f t="shared" si="0"/>
        <v>3.0099792099792095</v>
      </c>
      <c r="O17" s="26">
        <f t="shared" si="1"/>
        <v>-0.06019958419958419</v>
      </c>
      <c r="P17" s="30">
        <f t="shared" si="2"/>
        <v>2.9497796257796254</v>
      </c>
    </row>
    <row r="18" spans="1:16" ht="12">
      <c r="A18" s="29" t="s">
        <v>26</v>
      </c>
      <c r="B18" s="10" t="s">
        <v>13</v>
      </c>
      <c r="C18" s="11">
        <v>55</v>
      </c>
      <c r="D18" s="11">
        <v>0</v>
      </c>
      <c r="E18" s="11">
        <v>61</v>
      </c>
      <c r="F18" s="11">
        <f t="shared" si="3"/>
        <v>-12.200000000000001</v>
      </c>
      <c r="G18" s="41">
        <f t="shared" si="4"/>
        <v>103.8</v>
      </c>
      <c r="H18" s="12">
        <f>IF(B18="U",#REF!,$B$30)</f>
        <v>830.4545454545454</v>
      </c>
      <c r="I18" s="12">
        <f>IF(B18="U",C18*#REF!,C18*$B$31)</f>
        <v>4725</v>
      </c>
      <c r="J18" s="12">
        <f>IF(B18="U",D18*#REF!,D18*$B$32)</f>
        <v>0</v>
      </c>
      <c r="K18" s="12">
        <f>IF(B18="U",E18*#REF!,E18*$B$33)</f>
        <v>3892.909090909091</v>
      </c>
      <c r="L18" s="12">
        <f>IF(C18="U",F18*#REF!,F18*$B$33)</f>
        <v>-778.5818181818182</v>
      </c>
      <c r="M18" s="13">
        <f t="shared" si="5"/>
        <v>8669.781818181818</v>
      </c>
      <c r="N18" s="14">
        <f t="shared" si="0"/>
        <v>4.506123606123606</v>
      </c>
      <c r="O18" s="26">
        <f t="shared" si="1"/>
        <v>-0.09012247212247212</v>
      </c>
      <c r="P18" s="30">
        <f t="shared" si="2"/>
        <v>4.416001134001134</v>
      </c>
    </row>
    <row r="19" spans="1:16" ht="12">
      <c r="A19" s="29" t="s">
        <v>27</v>
      </c>
      <c r="B19" s="10" t="s">
        <v>13</v>
      </c>
      <c r="C19" s="11">
        <v>38</v>
      </c>
      <c r="D19" s="11">
        <v>0</v>
      </c>
      <c r="E19" s="11">
        <v>35</v>
      </c>
      <c r="F19" s="11">
        <f t="shared" si="3"/>
        <v>-7</v>
      </c>
      <c r="G19" s="41">
        <f t="shared" si="4"/>
        <v>66</v>
      </c>
      <c r="H19" s="12">
        <f>IF(B19="U",#REF!,$B$30)</f>
        <v>830.4545454545454</v>
      </c>
      <c r="I19" s="12">
        <f>IF(B19="U",C19*#REF!,C19*$B$31)</f>
        <v>3264.5454545454545</v>
      </c>
      <c r="J19" s="12">
        <f>IF(B19="U",D19*#REF!,D19*$B$32)</f>
        <v>0</v>
      </c>
      <c r="K19" s="12">
        <f>IF(B19="U",E19*#REF!,E19*$B$33)</f>
        <v>2233.6363636363635</v>
      </c>
      <c r="L19" s="12">
        <f>IF(C19="U",F19*#REF!,F19*$B$33)</f>
        <v>-446.72727272727275</v>
      </c>
      <c r="M19" s="13">
        <f t="shared" si="5"/>
        <v>5881.909090909091</v>
      </c>
      <c r="N19" s="14">
        <f t="shared" si="0"/>
        <v>3.057125307125307</v>
      </c>
      <c r="O19" s="26">
        <f t="shared" si="1"/>
        <v>-0.061142506142506145</v>
      </c>
      <c r="P19" s="30">
        <f t="shared" si="2"/>
        <v>2.995982800982801</v>
      </c>
    </row>
    <row r="20" spans="1:16" ht="12">
      <c r="A20" s="29" t="s">
        <v>28</v>
      </c>
      <c r="B20" s="10" t="s">
        <v>13</v>
      </c>
      <c r="C20" s="11">
        <v>31</v>
      </c>
      <c r="D20" s="11">
        <v>0</v>
      </c>
      <c r="E20" s="11">
        <v>29</v>
      </c>
      <c r="F20" s="11">
        <f t="shared" si="3"/>
        <v>-5.800000000000001</v>
      </c>
      <c r="G20" s="41">
        <f t="shared" si="4"/>
        <v>54.2</v>
      </c>
      <c r="H20" s="12">
        <f>IF(B20="U",#REF!,$B$30)</f>
        <v>830.4545454545454</v>
      </c>
      <c r="I20" s="12">
        <f>IF(B20="U",C20*#REF!,C20*$B$31)</f>
        <v>2663.181818181818</v>
      </c>
      <c r="J20" s="12">
        <f>IF(B20="U",D20*#REF!,D20*$B$32)</f>
        <v>0</v>
      </c>
      <c r="K20" s="12">
        <f>IF(B20="U",E20*#REF!,E20*$B$33)</f>
        <v>1850.7272727272727</v>
      </c>
      <c r="L20" s="12">
        <f>IF(C20="U",F20*#REF!,F20*$B$33)</f>
        <v>-370.1454545454546</v>
      </c>
      <c r="M20" s="13">
        <f t="shared" si="5"/>
        <v>4974.218181818182</v>
      </c>
      <c r="N20" s="14">
        <f t="shared" si="0"/>
        <v>2.585352485352485</v>
      </c>
      <c r="O20" s="26">
        <f t="shared" si="1"/>
        <v>-0.0517070497070497</v>
      </c>
      <c r="P20" s="30">
        <f t="shared" si="2"/>
        <v>2.5336454356454357</v>
      </c>
    </row>
    <row r="21" spans="1:16" ht="12">
      <c r="A21" s="29" t="s">
        <v>29</v>
      </c>
      <c r="B21" s="10" t="s">
        <v>13</v>
      </c>
      <c r="C21" s="11">
        <v>33</v>
      </c>
      <c r="D21" s="11">
        <v>2</v>
      </c>
      <c r="E21" s="11">
        <v>51</v>
      </c>
      <c r="F21" s="11">
        <f t="shared" si="3"/>
        <v>-10.200000000000001</v>
      </c>
      <c r="G21" s="41">
        <f t="shared" si="4"/>
        <v>75.8</v>
      </c>
      <c r="H21" s="12">
        <f>IF(B21="U",#REF!,$B$30)</f>
        <v>830.4545454545454</v>
      </c>
      <c r="I21" s="12">
        <f>IF(B21="U",C21*#REF!,C21*$B$31)</f>
        <v>2835</v>
      </c>
      <c r="J21" s="12">
        <f>IF(B21="U",D21*#REF!,D21*$B$32)</f>
        <v>60</v>
      </c>
      <c r="K21" s="12">
        <f>IF(B21="U",E21*#REF!,E21*$B$33)</f>
        <v>3254.727272727273</v>
      </c>
      <c r="L21" s="12">
        <f>IF(C21="U",F21*#REF!,F21*$B$33)</f>
        <v>-650.9454545454546</v>
      </c>
      <c r="M21" s="13">
        <f t="shared" si="5"/>
        <v>6329.236363636363</v>
      </c>
      <c r="N21" s="14">
        <f t="shared" si="0"/>
        <v>3.2896238896238894</v>
      </c>
      <c r="O21" s="26">
        <f t="shared" si="1"/>
        <v>-0.0657924777924778</v>
      </c>
      <c r="P21" s="30">
        <f t="shared" si="2"/>
        <v>3.2238314118314118</v>
      </c>
    </row>
    <row r="22" spans="1:16" ht="12">
      <c r="A22" s="29" t="s">
        <v>37</v>
      </c>
      <c r="B22" s="10" t="s">
        <v>13</v>
      </c>
      <c r="C22" s="11">
        <v>92</v>
      </c>
      <c r="D22" s="11">
        <v>3</v>
      </c>
      <c r="E22" s="11">
        <v>126</v>
      </c>
      <c r="F22" s="11">
        <f t="shared" si="3"/>
        <v>-25.200000000000003</v>
      </c>
      <c r="G22" s="41">
        <f t="shared" si="4"/>
        <v>195.8</v>
      </c>
      <c r="H22" s="12">
        <f>IF(B22="U",#REF!,$B$30)</f>
        <v>830.4545454545454</v>
      </c>
      <c r="I22" s="12">
        <f>IF(B22="U",C22*#REF!,C22*$B$31)</f>
        <v>7903.636363636363</v>
      </c>
      <c r="J22" s="12">
        <f>IF(B22="U",D22*#REF!,D22*$B$32)</f>
        <v>90</v>
      </c>
      <c r="K22" s="12">
        <f>IF(B22="U",E22*#REF!,E22*$B$33)</f>
        <v>8041.090909090909</v>
      </c>
      <c r="L22" s="12">
        <f>IF(C22="U",F22*#REF!,F22*$B$33)</f>
        <v>-1608.218181818182</v>
      </c>
      <c r="M22" s="13">
        <f t="shared" si="5"/>
        <v>15256.963636363635</v>
      </c>
      <c r="N22" s="14">
        <f t="shared" si="0"/>
        <v>7.9298147798147784</v>
      </c>
      <c r="O22" s="26">
        <f t="shared" si="1"/>
        <v>-0.15859629559629557</v>
      </c>
      <c r="P22" s="30">
        <f t="shared" si="2"/>
        <v>7.771218484218483</v>
      </c>
    </row>
    <row r="23" spans="1:16" ht="12">
      <c r="A23" s="29" t="s">
        <v>30</v>
      </c>
      <c r="B23" s="10" t="s">
        <v>13</v>
      </c>
      <c r="C23" s="11">
        <v>48</v>
      </c>
      <c r="D23" s="11">
        <v>0</v>
      </c>
      <c r="E23" s="11">
        <v>19</v>
      </c>
      <c r="F23" s="11">
        <f t="shared" si="3"/>
        <v>-3.8000000000000003</v>
      </c>
      <c r="G23" s="41">
        <f t="shared" si="4"/>
        <v>63.2</v>
      </c>
      <c r="H23" s="12">
        <f>IF(B23="U",#REF!,$B$30)</f>
        <v>830.4545454545454</v>
      </c>
      <c r="I23" s="12">
        <f>IF(B23="U",C23*#REF!,C23*$B$31)</f>
        <v>4123.636363636364</v>
      </c>
      <c r="J23" s="12">
        <f>IF(B23="U",D23*#REF!,D23*$B$32)</f>
        <v>0</v>
      </c>
      <c r="K23" s="12">
        <f>IF(B23="U",E23*#REF!,E23*$B$33)</f>
        <v>1212.5454545454545</v>
      </c>
      <c r="L23" s="12">
        <f>IF(C23="U",F23*#REF!,F23*$B$33)</f>
        <v>-242.50909090909093</v>
      </c>
      <c r="M23" s="13">
        <f t="shared" si="5"/>
        <v>5924.127272727273</v>
      </c>
      <c r="N23" s="14">
        <f t="shared" si="0"/>
        <v>3.079068229068229</v>
      </c>
      <c r="O23" s="26">
        <f t="shared" si="1"/>
        <v>-0.06158136458136459</v>
      </c>
      <c r="P23" s="30">
        <f t="shared" si="2"/>
        <v>3.0174868644868647</v>
      </c>
    </row>
    <row r="24" spans="1:16" ht="12">
      <c r="A24" s="29" t="s">
        <v>31</v>
      </c>
      <c r="B24" s="10" t="s">
        <v>13</v>
      </c>
      <c r="C24" s="11">
        <v>109</v>
      </c>
      <c r="D24" s="11">
        <v>2</v>
      </c>
      <c r="E24" s="11">
        <v>95</v>
      </c>
      <c r="F24" s="11">
        <f t="shared" si="3"/>
        <v>-19</v>
      </c>
      <c r="G24" s="41">
        <f t="shared" si="4"/>
        <v>187</v>
      </c>
      <c r="H24" s="12">
        <f>IF(B24="U",#REF!,$B$30)</f>
        <v>830.4545454545454</v>
      </c>
      <c r="I24" s="12">
        <f>IF(B24="U",C24*#REF!,C24*$B$31)</f>
        <v>9364.090909090908</v>
      </c>
      <c r="J24" s="12">
        <f>IF(B24="U",D24*#REF!,D24*$B$32)</f>
        <v>60</v>
      </c>
      <c r="K24" s="12">
        <f>IF(B24="U",E24*#REF!,E24*$B$33)</f>
        <v>6062.727272727273</v>
      </c>
      <c r="L24" s="12">
        <f>IF(C24="U",F24*#REF!,F24*$B$33)</f>
        <v>-1212.5454545454545</v>
      </c>
      <c r="M24" s="13">
        <f t="shared" si="5"/>
        <v>15104.727272727274</v>
      </c>
      <c r="N24" s="14">
        <f t="shared" si="0"/>
        <v>7.850689850689851</v>
      </c>
      <c r="O24" s="26">
        <f t="shared" si="1"/>
        <v>-0.15701379701379703</v>
      </c>
      <c r="P24" s="30">
        <f t="shared" si="2"/>
        <v>7.693676053676054</v>
      </c>
    </row>
    <row r="25" spans="1:16" s="18" customFormat="1" ht="12.75" thickBot="1">
      <c r="A25" s="32"/>
      <c r="B25" s="16"/>
      <c r="C25" s="15"/>
      <c r="D25" s="15"/>
      <c r="E25" s="39"/>
      <c r="F25" s="39"/>
      <c r="G25" s="11">
        <f>C25+D25+E25</f>
        <v>0</v>
      </c>
      <c r="H25" s="17"/>
      <c r="I25" s="17"/>
      <c r="J25" s="17"/>
      <c r="K25" s="38">
        <f>IF(B25="U",E25*#REF!,E25*$B$33)</f>
        <v>0</v>
      </c>
      <c r="L25" s="38"/>
      <c r="M25" s="38">
        <f>SUM(H25:K25)</f>
        <v>0</v>
      </c>
      <c r="N25" s="14">
        <f t="shared" si="0"/>
        <v>0</v>
      </c>
      <c r="O25" s="26">
        <f t="shared" si="1"/>
        <v>0</v>
      </c>
      <c r="P25" s="30">
        <f t="shared" si="2"/>
        <v>0</v>
      </c>
    </row>
    <row r="26" spans="1:16" s="18" customFormat="1" ht="12.75" thickBot="1">
      <c r="A26" s="19" t="s">
        <v>32</v>
      </c>
      <c r="B26" s="20"/>
      <c r="C26" s="20">
        <f>SUM(C5:C25)</f>
        <v>1004</v>
      </c>
      <c r="D26" s="20">
        <f>SUM(D5:D25)</f>
        <v>11</v>
      </c>
      <c r="E26" s="20">
        <f>SUM(E5:E25)</f>
        <v>959</v>
      </c>
      <c r="F26" s="20">
        <f>SUM(F5:F25)</f>
        <v>-191.8</v>
      </c>
      <c r="G26" s="20">
        <f>SUM(G5:G25)</f>
        <v>1782.2</v>
      </c>
      <c r="H26" s="21">
        <f aca="true" t="shared" si="6" ref="H26:M26">SUM(H5:H24)</f>
        <v>16609.09090909091</v>
      </c>
      <c r="I26" s="21">
        <f t="shared" si="6"/>
        <v>86252.72727272726</v>
      </c>
      <c r="J26" s="21">
        <f t="shared" si="6"/>
        <v>330</v>
      </c>
      <c r="K26" s="21">
        <f t="shared" si="6"/>
        <v>61201.63636363636</v>
      </c>
      <c r="L26" s="21">
        <f t="shared" si="6"/>
        <v>-12240.327272727272</v>
      </c>
      <c r="M26" s="22">
        <f t="shared" si="6"/>
        <v>152153.12727272723</v>
      </c>
      <c r="N26" s="23">
        <f>SUM(N5:N25)</f>
        <v>79.08166698166698</v>
      </c>
      <c r="O26" s="23">
        <f>SUM(O5:O25)</f>
        <v>-1.5816333396333397</v>
      </c>
      <c r="P26" s="33">
        <f>SUM(P5:P25)</f>
        <v>77.95227990927991</v>
      </c>
    </row>
    <row r="27" spans="1:16" ht="12">
      <c r="A27" s="5"/>
      <c r="B27" s="5"/>
      <c r="C27" s="24"/>
      <c r="D27" s="24"/>
      <c r="E27" s="24"/>
      <c r="F27" s="24"/>
      <c r="G27" s="24"/>
      <c r="H27" s="5"/>
      <c r="I27" s="5"/>
      <c r="J27" s="5"/>
      <c r="K27" s="5"/>
      <c r="L27" s="7"/>
      <c r="M27" s="7"/>
      <c r="N27" s="5"/>
      <c r="P27" s="43"/>
    </row>
    <row r="29" ht="12">
      <c r="A29" s="37"/>
    </row>
    <row r="30" spans="1:8" ht="12">
      <c r="A30" s="9" t="s">
        <v>33</v>
      </c>
      <c r="B30" s="36">
        <f>1015/27.5*22.5</f>
        <v>830.4545454545454</v>
      </c>
      <c r="E30" s="44" t="s">
        <v>45</v>
      </c>
      <c r="F30" s="44"/>
      <c r="G30" s="44"/>
      <c r="H30" s="44"/>
    </row>
    <row r="31" spans="1:8" ht="12">
      <c r="A31" s="9" t="s">
        <v>34</v>
      </c>
      <c r="B31" s="36">
        <f>105/27.5*22.5</f>
        <v>85.9090909090909</v>
      </c>
      <c r="C31" s="25"/>
      <c r="E31" s="44"/>
      <c r="F31" s="44"/>
      <c r="G31" s="44"/>
      <c r="H31" s="44"/>
    </row>
    <row r="32" spans="1:8" ht="12">
      <c r="A32" s="9" t="s">
        <v>35</v>
      </c>
      <c r="B32" s="36">
        <v>30</v>
      </c>
      <c r="C32" s="25"/>
      <c r="E32" s="44"/>
      <c r="F32" s="44"/>
      <c r="G32" s="44"/>
      <c r="H32" s="44"/>
    </row>
    <row r="33" spans="1:8" ht="12">
      <c r="A33" s="9" t="s">
        <v>36</v>
      </c>
      <c r="B33" s="36">
        <f>78/27.5*22.5</f>
        <v>63.81818181818182</v>
      </c>
      <c r="C33" s="25"/>
      <c r="E33" s="44"/>
      <c r="F33" s="44"/>
      <c r="G33" s="44"/>
      <c r="H33" s="44"/>
    </row>
    <row r="34" ht="12">
      <c r="C34" s="25"/>
    </row>
    <row r="35" ht="12">
      <c r="A35" s="9" t="s">
        <v>42</v>
      </c>
    </row>
    <row r="36" ht="12">
      <c r="A36" s="9" t="s">
        <v>44</v>
      </c>
    </row>
    <row r="40" ht="12">
      <c r="A40" s="9" t="s">
        <v>43</v>
      </c>
    </row>
    <row r="41" ht="12">
      <c r="A41" s="9" t="s">
        <v>47</v>
      </c>
    </row>
  </sheetData>
  <sheetProtection/>
  <mergeCells count="1">
    <mergeCell ref="E30:H33"/>
  </mergeCells>
  <printOptions/>
  <pageMargins left="0.75" right="0.18" top="0.85" bottom="0.33" header="0" footer="0"/>
  <pageSetup fitToHeight="1" fitToWidth="1" horizontalDpi="600" verticalDpi="600" orientation="landscape" paperSize="9" scale="9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UBU-04-02-2014 - Bilag 23.02 Model 1 - Tildeling til SFO efter nu reform ud fra antal børn i SFO pr …</dc:title>
  <dc:subject>ØVRIGE</dc:subject>
  <dc:creator>LIAN</dc:creator>
  <cp:keywords/>
  <dc:description>Antal børn i SFO pr. 5-9-2012</dc:description>
  <cp:lastModifiedBy>Lissy Andersen</cp:lastModifiedBy>
  <cp:lastPrinted>2014-01-24T08:44:49Z</cp:lastPrinted>
  <dcterms:created xsi:type="dcterms:W3CDTF">2009-12-15T11:15:40Z</dcterms:created>
  <dcterms:modified xsi:type="dcterms:W3CDTF">2014-01-30T10:33:03Z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Børn og Undervisning</vt:lpwstr>
  </property>
  <property fmtid="{D5CDD505-2E9C-101B-9397-08002B2CF9AE}" pid="4" name="MeetingTit">
    <vt:lpwstr>04-02-2014</vt:lpwstr>
  </property>
  <property fmtid="{D5CDD505-2E9C-101B-9397-08002B2CF9AE}" pid="5" name="MeetingDateAndTi">
    <vt:lpwstr>04-02-2014 fra 13:00 - 16:15</vt:lpwstr>
  </property>
  <property fmtid="{D5CDD505-2E9C-101B-9397-08002B2CF9AE}" pid="6" name="AccessLevelNa">
    <vt:lpwstr>Åben</vt:lpwstr>
  </property>
  <property fmtid="{D5CDD505-2E9C-101B-9397-08002B2CF9AE}" pid="7" name="Fusion">
    <vt:lpwstr>1480652</vt:lpwstr>
  </property>
  <property fmtid="{D5CDD505-2E9C-101B-9397-08002B2CF9AE}" pid="8" name="SortOrd">
    <vt:lpwstr>2</vt:lpwstr>
  </property>
  <property fmtid="{D5CDD505-2E9C-101B-9397-08002B2CF9AE}" pid="9" name="MeetingEndDa">
    <vt:lpwstr>2014-02-04T16:15:00Z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3734/14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2014-02-04T13:00:00Z</vt:lpwstr>
  </property>
  <property fmtid="{D5CDD505-2E9C-101B-9397-08002B2CF9AE}" pid="14" name="PWDescripti">
    <vt:lpwstr>Model 1 - Tildeling til SFO efter nu reform ud fra antal børn i SFO pr. 5-9-2013</vt:lpwstr>
  </property>
  <property fmtid="{D5CDD505-2E9C-101B-9397-08002B2CF9AE}" pid="15" name="U">
    <vt:lpwstr>1314456</vt:lpwstr>
  </property>
  <property fmtid="{D5CDD505-2E9C-101B-9397-08002B2CF9AE}" pid="16" name="PWFileTy">
    <vt:lpwstr>.XLS</vt:lpwstr>
  </property>
  <property fmtid="{D5CDD505-2E9C-101B-9397-08002B2CF9AE}" pid="17" name="Agenda">
    <vt:lpwstr>2120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